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RS\Desktop\GRS\Permashield Facts\"/>
    </mc:Choice>
  </mc:AlternateContent>
  <bookViews>
    <workbookView xWindow="0" yWindow="0" windowWidth="23040" windowHeight="9048" xr2:uid="{200A67D7-5848-4D1F-87FE-D46DBFB1F73C}"/>
  </bookViews>
  <sheets>
    <sheet name="Sheet1" sheetId="1" r:id="rId1"/>
    <sheet name="Sheet2" sheetId="2" r:id="rId2"/>
    <sheet name="Sheet3" sheetId="3" r:id="rId3"/>
  </sheets>
  <definedNames>
    <definedName name="_xlnm.Print_Area" localSheetId="0">Sheet1!$C$1:$O$30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K19" i="1"/>
  <c r="D14" i="2" l="1"/>
  <c r="D12" i="2" s="1"/>
  <c r="E12" i="2" s="1"/>
  <c r="D10" i="2"/>
  <c r="E10" i="2" s="1"/>
  <c r="I10" i="2"/>
  <c r="J10" i="2" s="1"/>
  <c r="N4" i="2"/>
  <c r="I4" i="2"/>
  <c r="I16" i="2"/>
  <c r="E8" i="2"/>
  <c r="E6" i="2"/>
  <c r="D20" i="2" l="1"/>
  <c r="E14" i="2"/>
  <c r="N6" i="2"/>
  <c r="I8" i="2" l="1"/>
  <c r="D18" i="2"/>
  <c r="I6" i="2" s="1"/>
  <c r="I14" i="2" s="1"/>
  <c r="N8" i="2" l="1"/>
  <c r="N10" i="2" s="1"/>
  <c r="I18" i="2"/>
  <c r="I12" i="2"/>
  <c r="I20" i="2" l="1"/>
  <c r="K25" i="1" s="1"/>
  <c r="K22" i="1"/>
  <c r="N12" i="2"/>
  <c r="N14" i="2" s="1"/>
  <c r="K28" i="1" s="1"/>
</calcChain>
</file>

<file path=xl/sharedStrings.xml><?xml version="1.0" encoding="utf-8"?>
<sst xmlns="http://schemas.openxmlformats.org/spreadsheetml/2006/main" count="49" uniqueCount="48">
  <si>
    <t>A: Unit Height</t>
  </si>
  <si>
    <t>Y: Bank Height</t>
  </si>
  <si>
    <t>B: Wall Height</t>
  </si>
  <si>
    <t>C: Wall Length</t>
  </si>
  <si>
    <t>Z: Slope Ratio</t>
  </si>
  <si>
    <t>Weight Against System</t>
  </si>
  <si>
    <t>System Strength</t>
  </si>
  <si>
    <t>Sliding Safety Factor</t>
  </si>
  <si>
    <t>Overturn Safety Factor</t>
  </si>
  <si>
    <t>PERFORMANCE / SAFETY NUMBERS</t>
  </si>
  <si>
    <t>Ka</t>
  </si>
  <si>
    <t>Kp</t>
  </si>
  <si>
    <t>Gamma</t>
  </si>
  <si>
    <t>Beta</t>
  </si>
  <si>
    <t>Alpha</t>
  </si>
  <si>
    <t>Phiw</t>
  </si>
  <si>
    <t>Known Unchanged Quanities</t>
  </si>
  <si>
    <t>Height</t>
  </si>
  <si>
    <t>Embedment</t>
  </si>
  <si>
    <t>Pressure, active</t>
  </si>
  <si>
    <t>Pressure, passive</t>
  </si>
  <si>
    <t>Known Changing Quanities</t>
  </si>
  <si>
    <t>I (Slope Backfill)</t>
  </si>
  <si>
    <t>Force Horz</t>
  </si>
  <si>
    <t>Force Vert</t>
  </si>
  <si>
    <t>Self Weight</t>
  </si>
  <si>
    <t>lbs/ft</t>
  </si>
  <si>
    <t>Force Resisting</t>
  </si>
  <si>
    <t>F.S. Sliding</t>
  </si>
  <si>
    <t>Moment Resisting</t>
  </si>
  <si>
    <t>Moment Overturn</t>
  </si>
  <si>
    <t>Bottom Bag Width (t)</t>
  </si>
  <si>
    <t>Bags resisting</t>
  </si>
  <si>
    <t>Active Pressure</t>
  </si>
  <si>
    <t>F.S. Overturning</t>
  </si>
  <si>
    <t>ft</t>
  </si>
  <si>
    <t>lbs/ft^3</t>
  </si>
  <si>
    <t>1. Swiss Standard SN 670 010b, Characteristic Coefficients of soils, Association of Swiss Road and Traffic Engineers</t>
  </si>
  <si>
    <t>2. JON W. KOLOSKI, SIGMUND D. SCHWARZ, and DONALD W. TUBBS, Geotechnical Properties of Geologic Materials, Engineering Geology in Washington, Volume 1, Washington Division of Geology and Earth Resources Bulletin 78, 1989, Link</t>
  </si>
  <si>
    <t>3. Carter, M. and Bentley, S. (1991). Correlations of soil properties. Penetech Press Publishers, London.</t>
  </si>
  <si>
    <t>4. Meyerhof, G. (1956). Penetration tests and bearing capacity of cohesionless soils. J Soils Mechanics and Foundation Division ASCE, 82(SM1).</t>
  </si>
  <si>
    <t>5. Peck, R., Hanson,W., and Thornburn, T. (1974). Foundation Engineering Handbook. Wiley, London.</t>
  </si>
  <si>
    <t>6. Obrzud R. &amp; Truty, A.THE HARDENING SOIL MODEL - A PRACTICAL GUIDEBOOK Z Soil.PC 100701 report, revised 31.01.2012</t>
  </si>
  <si>
    <t>7. Minnesota Department of Transportation, Pavement Design, 2007</t>
  </si>
  <si>
    <t>REFERENCES</t>
  </si>
  <si>
    <t>PHI (Φ)</t>
  </si>
  <si>
    <t>X:  Top Bank Depth</t>
  </si>
  <si>
    <r>
      <t xml:space="preserve">NOTE:  A: </t>
    </r>
    <r>
      <rPr>
        <i/>
        <sz val="14"/>
        <color theme="1"/>
        <rFont val="Calibri"/>
        <family val="2"/>
        <scheme val="minor"/>
      </rPr>
      <t>Use unit sizes of 2,3,4,6</t>
    </r>
    <r>
      <rPr>
        <sz val="14"/>
        <color theme="1"/>
        <rFont val="Calibri"/>
        <family val="2"/>
        <scheme val="minor"/>
      </rPr>
      <t xml:space="preserve">        (</t>
    </r>
    <r>
      <rPr>
        <i/>
        <sz val="14"/>
        <color theme="1"/>
        <rFont val="Calibri"/>
        <family val="2"/>
        <scheme val="minor"/>
      </rPr>
      <t>only insert numbers into A:  B:  C:  X:  Y:</t>
    </r>
    <r>
      <rPr>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</si>
</sst>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theme="0"/>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1"/>
      <color rgb="FF000000"/>
      <name val="Arial"/>
      <family val="2"/>
    </font>
    <font>
      <u/>
      <sz val="11"/>
      <color theme="10"/>
      <name val="Calibri"/>
      <family val="2"/>
      <scheme val="minor"/>
    </font>
    <font>
      <sz val="14"/>
      <color theme="1"/>
      <name val="Calibri"/>
      <family val="2"/>
      <scheme val="minor"/>
    </font>
    <font>
      <i/>
      <sz val="14"/>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7" borderId="0" applyNumberFormat="0" applyBorder="0" applyAlignment="0" applyProtection="0"/>
    <xf numFmtId="0" fontId="3" fillId="8" borderId="0" applyNumberFormat="0" applyBorder="0" applyAlignment="0" applyProtection="0"/>
    <xf numFmtId="0" fontId="4" fillId="9" borderId="5" applyNumberFormat="0" applyAlignment="0" applyProtection="0"/>
    <xf numFmtId="0" fontId="5" fillId="10" borderId="6" applyNumberFormat="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33">
    <xf numFmtId="0" fontId="0" fillId="0" borderId="0" xfId="0"/>
    <xf numFmtId="0" fontId="0" fillId="6" borderId="0" xfId="0" applyFill="1"/>
    <xf numFmtId="0" fontId="6" fillId="0" borderId="0" xfId="5"/>
    <xf numFmtId="0" fontId="2" fillId="7" borderId="0" xfId="1"/>
    <xf numFmtId="0" fontId="2" fillId="7" borderId="2" xfId="1" applyBorder="1" applyAlignment="1">
      <alignment horizontal="center"/>
    </xf>
    <xf numFmtId="0" fontId="2" fillId="7" borderId="5" xfId="1" applyBorder="1" applyAlignment="1">
      <alignment horizontal="center"/>
    </xf>
    <xf numFmtId="0" fontId="3" fillId="8" borderId="5" xfId="2" applyBorder="1" applyAlignment="1">
      <alignment horizontal="center"/>
    </xf>
    <xf numFmtId="0" fontId="5" fillId="10" borderId="6" xfId="4"/>
    <xf numFmtId="0" fontId="9" fillId="0" borderId="0" xfId="0" applyFont="1" applyAlignment="1">
      <alignment horizontal="left" vertical="center" wrapText="1" indent="1"/>
    </xf>
    <xf numFmtId="0" fontId="10" fillId="0" borderId="0" xfId="6" applyAlignment="1">
      <alignment horizontal="left" vertical="center" wrapText="1" indent="1"/>
    </xf>
    <xf numFmtId="0" fontId="7" fillId="0" borderId="7" xfId="0" applyFont="1" applyBorder="1" applyAlignment="1">
      <alignment horizontal="center"/>
    </xf>
    <xf numFmtId="0" fontId="3" fillId="8" borderId="0" xfId="2"/>
    <xf numFmtId="0" fontId="0" fillId="2" borderId="1" xfId="0" applyFill="1" applyBorder="1" applyAlignment="1">
      <alignment horizontal="center"/>
    </xf>
    <xf numFmtId="0" fontId="0" fillId="3" borderId="1" xfId="0" applyFill="1" applyBorder="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5" borderId="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11" fillId="0" borderId="0" xfId="0" applyFont="1" applyBorder="1" applyAlignment="1">
      <alignment horizontal="left" vertical="top"/>
    </xf>
    <xf numFmtId="0" fontId="0" fillId="4" borderId="3" xfId="0" applyFill="1" applyBorder="1" applyAlignment="1">
      <alignment horizontal="center"/>
    </xf>
    <xf numFmtId="0" fontId="0" fillId="4" borderId="4" xfId="0" applyFill="1" applyBorder="1" applyAlignment="1">
      <alignment horizontal="center"/>
    </xf>
    <xf numFmtId="0" fontId="4" fillId="9" borderId="5" xfId="3" applyBorder="1" applyAlignment="1">
      <alignment horizontal="center"/>
    </xf>
    <xf numFmtId="0" fontId="1" fillId="5" borderId="0" xfId="0" applyFont="1" applyFill="1" applyBorder="1" applyAlignment="1">
      <alignment horizontal="right" vertical="center"/>
    </xf>
    <xf numFmtId="0" fontId="0" fillId="0" borderId="0" xfId="0" applyBorder="1" applyAlignment="1">
      <alignment horizontal="center"/>
    </xf>
    <xf numFmtId="0" fontId="8" fillId="0" borderId="0" xfId="0" applyFont="1" applyAlignment="1">
      <alignment horizontal="center"/>
    </xf>
  </cellXfs>
  <cellStyles count="7">
    <cellStyle name="Bad" xfId="2" builtinId="27"/>
    <cellStyle name="Calculation" xfId="3" builtinId="22"/>
    <cellStyle name="Check Cell" xfId="4" builtinId="23"/>
    <cellStyle name="Explanatory Text" xfId="5" builtinId="53"/>
    <cellStyle name="Good" xfId="1" builtinId="26"/>
    <cellStyle name="Hyperlink" xfId="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9</xdr:row>
      <xdr:rowOff>121920</xdr:rowOff>
    </xdr:from>
    <xdr:to>
      <xdr:col>8</xdr:col>
      <xdr:colOff>457207</xdr:colOff>
      <xdr:row>29</xdr:row>
      <xdr:rowOff>30487</xdr:rowOff>
    </xdr:to>
    <xdr:pic>
      <xdr:nvPicPr>
        <xdr:cNvPr id="8" name="Picture 7">
          <a:extLst>
            <a:ext uri="{FF2B5EF4-FFF2-40B4-BE49-F238E27FC236}">
              <a16:creationId xmlns:a16="http://schemas.microsoft.com/office/drawing/2014/main" id="{02946D11-DD97-4FA5-A6AB-428B2131D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1036320"/>
          <a:ext cx="3657607" cy="3657607"/>
        </a:xfrm>
        <a:prstGeom prst="rect">
          <a:avLst/>
        </a:prstGeom>
      </xdr:spPr>
    </xdr:pic>
    <xdr:clientData/>
  </xdr:twoCellAnchor>
  <xdr:twoCellAnchor editAs="oneCell">
    <xdr:from>
      <xdr:col>3</xdr:col>
      <xdr:colOff>190500</xdr:colOff>
      <xdr:row>5</xdr:row>
      <xdr:rowOff>38100</xdr:rowOff>
    </xdr:from>
    <xdr:to>
      <xdr:col>6</xdr:col>
      <xdr:colOff>358140</xdr:colOff>
      <xdr:row>8</xdr:row>
      <xdr:rowOff>124691</xdr:rowOff>
    </xdr:to>
    <xdr:pic>
      <xdr:nvPicPr>
        <xdr:cNvPr id="10" name="Picture 9">
          <a:extLst>
            <a:ext uri="{FF2B5EF4-FFF2-40B4-BE49-F238E27FC236}">
              <a16:creationId xmlns:a16="http://schemas.microsoft.com/office/drawing/2014/main" id="{F9431122-1482-49AE-B74E-6C26934D02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 y="220980"/>
          <a:ext cx="1996440" cy="635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ubbs.com/geotech/geotech.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31B6-1553-44E1-AA05-40596B7B24AF}">
  <dimension ref="A1:V40"/>
  <sheetViews>
    <sheetView showGridLines="0" tabSelected="1" zoomScaleNormal="100" zoomScaleSheetLayoutView="115" workbookViewId="0">
      <selection activeCell="S29" sqref="S29"/>
    </sheetView>
  </sheetViews>
  <sheetFormatPr defaultRowHeight="14.4" x14ac:dyDescent="0.3"/>
  <cols>
    <col min="11" max="11" width="18" customWidth="1"/>
    <col min="12" max="12" width="14.44140625" customWidth="1"/>
    <col min="13" max="13" width="13.33203125" bestFit="1" customWidth="1"/>
    <col min="22" max="22" width="9.109375" customWidth="1"/>
  </cols>
  <sheetData>
    <row r="1" spans="1:22" x14ac:dyDescent="0.3">
      <c r="A1" s="1"/>
      <c r="B1" s="1"/>
      <c r="C1" s="1"/>
      <c r="D1" s="1"/>
      <c r="E1" s="1"/>
      <c r="F1" s="1"/>
      <c r="G1" s="1"/>
      <c r="H1" s="1"/>
      <c r="I1" s="1"/>
      <c r="J1" s="1"/>
      <c r="K1" s="1"/>
      <c r="L1" s="1"/>
      <c r="M1" s="1"/>
      <c r="N1" s="1"/>
      <c r="O1" s="1"/>
      <c r="P1" s="1"/>
      <c r="Q1" s="1"/>
      <c r="R1" s="1"/>
      <c r="S1" s="1"/>
      <c r="T1" s="1"/>
    </row>
    <row r="2" spans="1:22" x14ac:dyDescent="0.3">
      <c r="A2" s="1"/>
      <c r="B2" s="1"/>
      <c r="C2" s="1"/>
      <c r="D2" s="1"/>
      <c r="E2" s="1"/>
      <c r="F2" s="1"/>
      <c r="G2" s="1"/>
      <c r="H2" s="1"/>
      <c r="I2" s="1"/>
      <c r="J2" s="1"/>
      <c r="K2" s="1"/>
      <c r="L2" s="1"/>
      <c r="M2" s="1"/>
      <c r="N2" s="1"/>
      <c r="O2" s="1"/>
      <c r="P2" s="1"/>
      <c r="Q2" s="1"/>
      <c r="R2" s="1"/>
      <c r="S2" s="1"/>
      <c r="T2" s="1"/>
    </row>
    <row r="3" spans="1:22" ht="15" thickBot="1" x14ac:dyDescent="0.35">
      <c r="A3" s="1"/>
      <c r="B3" s="1"/>
      <c r="C3" s="1"/>
      <c r="D3" s="1"/>
      <c r="E3" s="1"/>
      <c r="F3" s="1"/>
      <c r="G3" s="1"/>
      <c r="H3" s="1"/>
      <c r="I3" s="1"/>
      <c r="J3" s="1"/>
      <c r="K3" s="1"/>
      <c r="L3" s="1"/>
      <c r="M3" s="1"/>
      <c r="N3" s="1"/>
      <c r="O3" s="1"/>
      <c r="P3" s="1"/>
      <c r="Q3" s="1"/>
      <c r="R3" s="1"/>
      <c r="S3" s="1"/>
      <c r="T3" s="1"/>
    </row>
    <row r="4" spans="1:22" x14ac:dyDescent="0.3">
      <c r="A4" s="1"/>
      <c r="B4" s="1"/>
      <c r="C4" s="14"/>
      <c r="D4" s="15"/>
      <c r="E4" s="15"/>
      <c r="F4" s="15"/>
      <c r="G4" s="15"/>
      <c r="H4" s="15"/>
      <c r="I4" s="15"/>
      <c r="J4" s="15"/>
      <c r="K4" s="15"/>
      <c r="L4" s="15"/>
      <c r="M4" s="15"/>
      <c r="N4" s="15"/>
      <c r="O4" s="16"/>
      <c r="P4" s="1"/>
      <c r="Q4" s="1"/>
      <c r="R4" s="1"/>
      <c r="S4" s="1"/>
      <c r="T4" s="1"/>
    </row>
    <row r="5" spans="1:22" x14ac:dyDescent="0.3">
      <c r="A5" s="1"/>
      <c r="B5" s="1"/>
      <c r="C5" s="17"/>
      <c r="D5" s="18"/>
      <c r="E5" s="18"/>
      <c r="F5" s="18"/>
      <c r="G5" s="18"/>
      <c r="H5" s="18"/>
      <c r="I5" s="18"/>
      <c r="J5" s="18"/>
      <c r="K5" s="18"/>
      <c r="L5" s="18"/>
      <c r="M5" s="18"/>
      <c r="N5" s="18"/>
      <c r="O5" s="19"/>
      <c r="P5" s="1"/>
      <c r="Q5" s="1"/>
      <c r="R5" s="1"/>
      <c r="S5" s="1"/>
      <c r="T5" s="1"/>
    </row>
    <row r="6" spans="1:22" x14ac:dyDescent="0.3">
      <c r="A6" s="1"/>
      <c r="B6" s="1"/>
      <c r="C6" s="17"/>
      <c r="D6" s="30" t="s">
        <v>9</v>
      </c>
      <c r="E6" s="30"/>
      <c r="F6" s="30"/>
      <c r="G6" s="30"/>
      <c r="H6" s="30"/>
      <c r="I6" s="30"/>
      <c r="J6" s="30"/>
      <c r="K6" s="30"/>
      <c r="L6" s="30"/>
      <c r="M6" s="30"/>
      <c r="N6" s="20"/>
      <c r="O6" s="19"/>
      <c r="P6" s="1"/>
      <c r="Q6" s="1"/>
      <c r="R6" s="1"/>
      <c r="S6" s="1"/>
      <c r="T6" s="1"/>
    </row>
    <row r="7" spans="1:22" x14ac:dyDescent="0.3">
      <c r="A7" s="1"/>
      <c r="B7" s="1"/>
      <c r="C7" s="17"/>
      <c r="D7" s="30"/>
      <c r="E7" s="30"/>
      <c r="F7" s="30"/>
      <c r="G7" s="30"/>
      <c r="H7" s="30"/>
      <c r="I7" s="30"/>
      <c r="J7" s="30"/>
      <c r="K7" s="30"/>
      <c r="L7" s="30"/>
      <c r="M7" s="30"/>
      <c r="N7" s="20"/>
      <c r="O7" s="19"/>
      <c r="P7" s="1"/>
      <c r="Q7" s="1"/>
      <c r="R7" s="1"/>
      <c r="S7" s="1"/>
      <c r="T7" s="1"/>
      <c r="V7" s="2"/>
    </row>
    <row r="8" spans="1:22" x14ac:dyDescent="0.3">
      <c r="A8" s="1"/>
      <c r="B8" s="1"/>
      <c r="C8" s="17"/>
      <c r="D8" s="30"/>
      <c r="E8" s="30"/>
      <c r="F8" s="30"/>
      <c r="G8" s="30"/>
      <c r="H8" s="30"/>
      <c r="I8" s="30"/>
      <c r="J8" s="30"/>
      <c r="K8" s="30"/>
      <c r="L8" s="30"/>
      <c r="M8" s="30"/>
      <c r="N8" s="20"/>
      <c r="O8" s="19"/>
      <c r="P8" s="1"/>
      <c r="Q8" s="1"/>
      <c r="R8" s="1"/>
      <c r="S8" s="1"/>
      <c r="T8" s="1"/>
    </row>
    <row r="9" spans="1:22" x14ac:dyDescent="0.3">
      <c r="A9" s="1"/>
      <c r="B9" s="1"/>
      <c r="C9" s="17"/>
      <c r="D9" s="30"/>
      <c r="E9" s="30"/>
      <c r="F9" s="30"/>
      <c r="G9" s="30"/>
      <c r="H9" s="30"/>
      <c r="I9" s="30"/>
      <c r="J9" s="30"/>
      <c r="K9" s="30"/>
      <c r="L9" s="30"/>
      <c r="M9" s="30"/>
      <c r="N9" s="20"/>
      <c r="O9" s="19"/>
      <c r="P9" s="1"/>
      <c r="Q9" s="1"/>
      <c r="R9" s="1"/>
      <c r="S9" s="1"/>
      <c r="T9" s="1"/>
    </row>
    <row r="10" spans="1:22" ht="15" thickBot="1" x14ac:dyDescent="0.35">
      <c r="A10" s="1"/>
      <c r="B10" s="1"/>
      <c r="C10" s="17"/>
      <c r="D10" s="18"/>
      <c r="E10" s="18"/>
      <c r="F10" s="18"/>
      <c r="G10" s="18"/>
      <c r="H10" s="18"/>
      <c r="I10" s="18"/>
      <c r="J10" s="18"/>
      <c r="K10" s="18"/>
      <c r="L10" s="18"/>
      <c r="M10" s="18"/>
      <c r="N10" s="18"/>
      <c r="O10" s="19"/>
      <c r="P10" s="1"/>
      <c r="Q10" s="1"/>
      <c r="R10" s="1"/>
      <c r="S10" s="1"/>
      <c r="T10" s="1"/>
    </row>
    <row r="11" spans="1:22" ht="15" thickBot="1" x14ac:dyDescent="0.35">
      <c r="A11" s="1"/>
      <c r="B11" s="1"/>
      <c r="C11" s="17"/>
      <c r="D11" s="18"/>
      <c r="E11" s="18"/>
      <c r="F11" s="18"/>
      <c r="G11" s="18"/>
      <c r="H11" s="18"/>
      <c r="I11" s="18"/>
      <c r="J11" s="18"/>
      <c r="K11" s="12" t="s">
        <v>0</v>
      </c>
      <c r="L11" s="12" t="s">
        <v>2</v>
      </c>
      <c r="M11" s="12" t="s">
        <v>3</v>
      </c>
      <c r="N11" s="18"/>
      <c r="O11" s="19"/>
      <c r="P11" s="1"/>
      <c r="Q11" s="1"/>
      <c r="R11" s="1"/>
      <c r="S11" s="1"/>
      <c r="T11" s="1"/>
    </row>
    <row r="12" spans="1:22" x14ac:dyDescent="0.3">
      <c r="A12" s="1"/>
      <c r="B12" s="1"/>
      <c r="C12" s="17"/>
      <c r="D12" s="18"/>
      <c r="E12" s="18"/>
      <c r="F12" s="18"/>
      <c r="G12" s="18"/>
      <c r="H12" s="18"/>
      <c r="I12" s="18"/>
      <c r="J12" s="18"/>
      <c r="K12" s="4">
        <v>4</v>
      </c>
      <c r="L12" s="4">
        <v>32</v>
      </c>
      <c r="M12" s="4">
        <v>250</v>
      </c>
      <c r="N12" s="18"/>
      <c r="O12" s="19"/>
      <c r="P12" s="1"/>
      <c r="Q12" s="1"/>
      <c r="R12" s="1"/>
      <c r="S12" s="1"/>
      <c r="T12" s="1"/>
    </row>
    <row r="13" spans="1:22" ht="15" thickBot="1" x14ac:dyDescent="0.35">
      <c r="A13" s="1"/>
      <c r="B13" s="1"/>
      <c r="C13" s="17"/>
      <c r="D13" s="18"/>
      <c r="E13" s="18"/>
      <c r="F13" s="18"/>
      <c r="G13" s="18"/>
      <c r="H13" s="18"/>
      <c r="I13" s="18"/>
      <c r="J13" s="18"/>
      <c r="K13" s="18"/>
      <c r="L13" s="18"/>
      <c r="M13" s="18"/>
      <c r="N13" s="18"/>
      <c r="O13" s="19"/>
      <c r="P13" s="1"/>
      <c r="Q13" s="1"/>
      <c r="R13" s="1"/>
      <c r="S13" s="1"/>
      <c r="T13" s="1"/>
    </row>
    <row r="14" spans="1:22" ht="15" thickBot="1" x14ac:dyDescent="0.35">
      <c r="A14" s="1"/>
      <c r="B14" s="1"/>
      <c r="C14" s="17"/>
      <c r="D14" s="18"/>
      <c r="E14" s="18"/>
      <c r="F14" s="18"/>
      <c r="G14" s="18"/>
      <c r="H14" s="18"/>
      <c r="I14" s="18"/>
      <c r="J14" s="18"/>
      <c r="K14" s="13" t="s">
        <v>46</v>
      </c>
      <c r="L14" s="13" t="s">
        <v>1</v>
      </c>
      <c r="M14" s="13" t="s">
        <v>4</v>
      </c>
      <c r="N14" s="18"/>
      <c r="O14" s="19"/>
      <c r="P14" s="1"/>
      <c r="Q14" s="1"/>
      <c r="R14" s="1"/>
      <c r="S14" s="1"/>
      <c r="T14" s="1"/>
    </row>
    <row r="15" spans="1:22" x14ac:dyDescent="0.3">
      <c r="A15" s="1"/>
      <c r="B15" s="1"/>
      <c r="C15" s="17"/>
      <c r="D15" s="18"/>
      <c r="E15" s="18"/>
      <c r="F15" s="18"/>
      <c r="G15" s="18"/>
      <c r="H15" s="18"/>
      <c r="I15" s="18"/>
      <c r="J15" s="18"/>
      <c r="K15" s="5">
        <v>30</v>
      </c>
      <c r="L15" s="5">
        <v>40</v>
      </c>
      <c r="M15" s="6">
        <f>IF(Sheet1!K12=6,60,IF(Sheet1!K12=4,53,IF(Sheet1!K12=3,50,IF(Sheet1!K12=2,45,ERROR))))</f>
        <v>53</v>
      </c>
      <c r="N15" s="18"/>
      <c r="O15" s="19"/>
      <c r="P15" s="1"/>
      <c r="Q15" s="1"/>
      <c r="R15" s="1"/>
      <c r="S15" s="1"/>
      <c r="T15" s="1"/>
    </row>
    <row r="16" spans="1:22" x14ac:dyDescent="0.3">
      <c r="A16" s="1"/>
      <c r="B16" s="1"/>
      <c r="C16" s="17"/>
      <c r="D16" s="18"/>
      <c r="E16" s="18"/>
      <c r="F16" s="18"/>
      <c r="G16" s="18"/>
      <c r="H16" s="18"/>
      <c r="I16" s="18"/>
      <c r="J16" s="18"/>
      <c r="K16" s="18"/>
      <c r="L16" s="18"/>
      <c r="M16" s="18"/>
      <c r="N16" s="18"/>
      <c r="O16" s="19"/>
      <c r="P16" s="1"/>
      <c r="Q16" s="1"/>
      <c r="R16" s="1"/>
      <c r="S16" s="1"/>
      <c r="T16" s="1"/>
    </row>
    <row r="17" spans="1:20" ht="15" thickBot="1" x14ac:dyDescent="0.35">
      <c r="A17" s="1"/>
      <c r="B17" s="1"/>
      <c r="C17" s="17"/>
      <c r="D17" s="18"/>
      <c r="E17" s="18"/>
      <c r="F17" s="18"/>
      <c r="G17" s="18"/>
      <c r="H17" s="18"/>
      <c r="I17" s="18"/>
      <c r="J17" s="18"/>
      <c r="K17" s="18"/>
      <c r="L17" s="18"/>
      <c r="M17" s="18"/>
      <c r="N17" s="18"/>
      <c r="O17" s="19"/>
      <c r="P17" s="1"/>
      <c r="Q17" s="1"/>
      <c r="R17" s="1"/>
      <c r="S17" s="1"/>
      <c r="T17" s="1"/>
    </row>
    <row r="18" spans="1:20" ht="15" thickBot="1" x14ac:dyDescent="0.35">
      <c r="A18" s="1"/>
      <c r="B18" s="1"/>
      <c r="C18" s="17"/>
      <c r="D18" s="18"/>
      <c r="E18" s="18"/>
      <c r="F18" s="18"/>
      <c r="G18" s="18"/>
      <c r="H18" s="18"/>
      <c r="I18" s="18"/>
      <c r="J18" s="18"/>
      <c r="K18" s="27" t="s">
        <v>5</v>
      </c>
      <c r="L18" s="28"/>
      <c r="M18" s="18"/>
      <c r="N18" s="18"/>
      <c r="O18" s="19"/>
      <c r="P18" s="1"/>
      <c r="Q18" s="1"/>
      <c r="R18" s="1"/>
      <c r="S18" s="1"/>
      <c r="T18" s="1"/>
    </row>
    <row r="19" spans="1:20" x14ac:dyDescent="0.3">
      <c r="A19" s="1"/>
      <c r="B19" s="1"/>
      <c r="C19" s="17"/>
      <c r="D19" s="18"/>
      <c r="E19" s="18"/>
      <c r="F19" s="18"/>
      <c r="G19" s="18"/>
      <c r="H19" s="18"/>
      <c r="I19" s="18"/>
      <c r="J19" s="18"/>
      <c r="K19" s="29">
        <f>ROUND(Sheet2!I12,-2)</f>
        <v>5600</v>
      </c>
      <c r="L19" s="29"/>
      <c r="M19" s="18"/>
      <c r="N19" s="18"/>
      <c r="O19" s="19"/>
      <c r="P19" s="1"/>
      <c r="Q19" s="1"/>
      <c r="R19" s="1"/>
      <c r="S19" s="1"/>
      <c r="T19" s="1"/>
    </row>
    <row r="20" spans="1:20" ht="15" thickBot="1" x14ac:dyDescent="0.35">
      <c r="A20" s="1"/>
      <c r="B20" s="1"/>
      <c r="C20" s="17"/>
      <c r="D20" s="18"/>
      <c r="E20" s="18"/>
      <c r="F20" s="18"/>
      <c r="G20" s="18"/>
      <c r="H20" s="18"/>
      <c r="I20" s="18"/>
      <c r="J20" s="18"/>
      <c r="K20" s="18"/>
      <c r="L20" s="18"/>
      <c r="M20" s="18"/>
      <c r="N20" s="18"/>
      <c r="O20" s="19"/>
      <c r="P20" s="1"/>
      <c r="Q20" s="1"/>
      <c r="R20" s="1"/>
      <c r="S20" s="1"/>
      <c r="T20" s="1"/>
    </row>
    <row r="21" spans="1:20" ht="15" thickBot="1" x14ac:dyDescent="0.35">
      <c r="A21" s="1"/>
      <c r="B21" s="1"/>
      <c r="C21" s="17"/>
      <c r="D21" s="18"/>
      <c r="E21" s="18"/>
      <c r="F21" s="18"/>
      <c r="G21" s="18"/>
      <c r="H21" s="18"/>
      <c r="I21" s="18"/>
      <c r="J21" s="18"/>
      <c r="K21" s="27" t="s">
        <v>6</v>
      </c>
      <c r="L21" s="28"/>
      <c r="M21" s="18"/>
      <c r="N21" s="18"/>
      <c r="O21" s="19"/>
      <c r="P21" s="1"/>
      <c r="Q21" s="1"/>
      <c r="R21" s="1"/>
      <c r="S21" s="1"/>
      <c r="T21" s="1"/>
    </row>
    <row r="22" spans="1:20" x14ac:dyDescent="0.3">
      <c r="A22" s="1"/>
      <c r="B22" s="1"/>
      <c r="C22" s="17"/>
      <c r="D22" s="18"/>
      <c r="E22" s="18"/>
      <c r="F22" s="18"/>
      <c r="G22" s="18"/>
      <c r="H22" s="18"/>
      <c r="I22" s="18"/>
      <c r="J22" s="18"/>
      <c r="K22" s="29">
        <f>ROUND(Sheet2!I18,-2)</f>
        <v>14300</v>
      </c>
      <c r="L22" s="29"/>
      <c r="M22" s="18"/>
      <c r="N22" s="18"/>
      <c r="O22" s="19"/>
      <c r="P22" s="1"/>
      <c r="Q22" s="1"/>
      <c r="R22" s="1"/>
      <c r="S22" s="1"/>
      <c r="T22" s="1"/>
    </row>
    <row r="23" spans="1:20" ht="15" thickBot="1" x14ac:dyDescent="0.35">
      <c r="A23" s="1"/>
      <c r="B23" s="1"/>
      <c r="C23" s="17"/>
      <c r="D23" s="18"/>
      <c r="E23" s="18"/>
      <c r="F23" s="18"/>
      <c r="G23" s="18"/>
      <c r="H23" s="18"/>
      <c r="I23" s="18"/>
      <c r="J23" s="18"/>
      <c r="K23" s="18"/>
      <c r="L23" s="18"/>
      <c r="M23" s="18"/>
      <c r="N23" s="18"/>
      <c r="O23" s="19"/>
      <c r="P23" s="1"/>
      <c r="Q23" s="1"/>
      <c r="R23" s="1"/>
      <c r="S23" s="1"/>
      <c r="T23" s="1"/>
    </row>
    <row r="24" spans="1:20" ht="15" thickBot="1" x14ac:dyDescent="0.35">
      <c r="A24" s="1"/>
      <c r="B24" s="1"/>
      <c r="C24" s="17"/>
      <c r="D24" s="18"/>
      <c r="E24" s="18"/>
      <c r="F24" s="18"/>
      <c r="G24" s="18"/>
      <c r="H24" s="18"/>
      <c r="I24" s="18"/>
      <c r="J24" s="18"/>
      <c r="K24" s="27" t="s">
        <v>7</v>
      </c>
      <c r="L24" s="28"/>
      <c r="M24" s="18"/>
      <c r="N24" s="18"/>
      <c r="O24" s="19"/>
      <c r="P24" s="1"/>
      <c r="Q24" s="1"/>
      <c r="R24" s="1"/>
      <c r="S24" s="1"/>
      <c r="T24" s="1"/>
    </row>
    <row r="25" spans="1:20" x14ac:dyDescent="0.3">
      <c r="A25" s="1"/>
      <c r="B25" s="1"/>
      <c r="C25" s="17"/>
      <c r="D25" s="18"/>
      <c r="E25" s="18"/>
      <c r="F25" s="18"/>
      <c r="G25" s="18"/>
      <c r="H25" s="18"/>
      <c r="I25" s="18"/>
      <c r="J25" s="18"/>
      <c r="K25" s="29">
        <f>ROUND(Sheet2!I20,1)</f>
        <v>2.6</v>
      </c>
      <c r="L25" s="29"/>
      <c r="M25" s="18"/>
      <c r="N25" s="18"/>
      <c r="O25" s="19"/>
      <c r="P25" s="1"/>
      <c r="Q25" s="1"/>
      <c r="R25" s="1"/>
      <c r="S25" s="1"/>
      <c r="T25" s="1"/>
    </row>
    <row r="26" spans="1:20" ht="15" thickBot="1" x14ac:dyDescent="0.35">
      <c r="A26" s="1"/>
      <c r="B26" s="1"/>
      <c r="C26" s="17"/>
      <c r="D26" s="18"/>
      <c r="E26" s="18"/>
      <c r="F26" s="18"/>
      <c r="G26" s="18"/>
      <c r="H26" s="18"/>
      <c r="I26" s="18"/>
      <c r="J26" s="18"/>
      <c r="K26" s="31"/>
      <c r="L26" s="31"/>
      <c r="M26" s="18"/>
      <c r="N26" s="18"/>
      <c r="O26" s="19"/>
      <c r="P26" s="1"/>
      <c r="Q26" s="1"/>
      <c r="R26" s="1"/>
      <c r="S26" s="1"/>
      <c r="T26" s="1"/>
    </row>
    <row r="27" spans="1:20" ht="15" thickBot="1" x14ac:dyDescent="0.35">
      <c r="A27" s="1"/>
      <c r="B27" s="1"/>
      <c r="C27" s="17"/>
      <c r="D27" s="18"/>
      <c r="E27" s="18"/>
      <c r="F27" s="18"/>
      <c r="G27" s="18"/>
      <c r="H27" s="18"/>
      <c r="I27" s="18"/>
      <c r="J27" s="18"/>
      <c r="K27" s="27" t="s">
        <v>8</v>
      </c>
      <c r="L27" s="28"/>
      <c r="M27" s="18"/>
      <c r="N27" s="18"/>
      <c r="O27" s="19"/>
      <c r="P27" s="1"/>
      <c r="Q27" s="1"/>
      <c r="R27" s="1"/>
      <c r="S27" s="1"/>
      <c r="T27" s="1"/>
    </row>
    <row r="28" spans="1:20" x14ac:dyDescent="0.3">
      <c r="A28" s="1"/>
      <c r="B28" s="1"/>
      <c r="C28" s="17"/>
      <c r="D28" s="18"/>
      <c r="E28" s="18"/>
      <c r="F28" s="18"/>
      <c r="G28" s="18"/>
      <c r="H28" s="18"/>
      <c r="I28" s="18"/>
      <c r="J28" s="18"/>
      <c r="K28" s="29">
        <f>ROUND(Sheet2!N14,1)</f>
        <v>5.3</v>
      </c>
      <c r="L28" s="29"/>
      <c r="M28" s="18"/>
      <c r="N28" s="18"/>
      <c r="O28" s="19"/>
      <c r="P28" s="1"/>
      <c r="Q28" s="1"/>
      <c r="R28" s="1"/>
      <c r="S28" s="1"/>
      <c r="T28" s="1"/>
    </row>
    <row r="29" spans="1:20" x14ac:dyDescent="0.3">
      <c r="A29" s="1"/>
      <c r="B29" s="1"/>
      <c r="C29" s="17"/>
      <c r="D29" s="18"/>
      <c r="E29" s="18"/>
      <c r="F29" s="18"/>
      <c r="G29" s="18"/>
      <c r="H29" s="18"/>
      <c r="I29" s="18"/>
      <c r="J29" s="18"/>
      <c r="K29" s="18"/>
      <c r="L29" s="18"/>
      <c r="M29" s="18"/>
      <c r="N29" s="18"/>
      <c r="O29" s="19"/>
      <c r="P29" s="1"/>
      <c r="Q29" s="1"/>
      <c r="R29" s="1"/>
      <c r="S29" s="1"/>
      <c r="T29" s="1"/>
    </row>
    <row r="30" spans="1:20" x14ac:dyDescent="0.3">
      <c r="A30" s="1"/>
      <c r="B30" s="1"/>
      <c r="C30" s="17"/>
      <c r="D30" s="26" t="s">
        <v>47</v>
      </c>
      <c r="E30" s="26"/>
      <c r="F30" s="26"/>
      <c r="G30" s="26"/>
      <c r="H30" s="26"/>
      <c r="I30" s="26"/>
      <c r="J30" s="26"/>
      <c r="K30" s="26"/>
      <c r="L30" s="26"/>
      <c r="M30" s="26"/>
      <c r="N30" s="26"/>
      <c r="O30" s="19"/>
      <c r="P30" s="1"/>
      <c r="Q30" s="1"/>
      <c r="R30" s="1"/>
      <c r="S30" s="1"/>
      <c r="T30" s="1"/>
    </row>
    <row r="31" spans="1:20" x14ac:dyDescent="0.3">
      <c r="A31" s="1"/>
      <c r="B31" s="1"/>
      <c r="C31" s="21"/>
      <c r="D31" s="26"/>
      <c r="E31" s="26"/>
      <c r="F31" s="26"/>
      <c r="G31" s="26"/>
      <c r="H31" s="26"/>
      <c r="I31" s="26"/>
      <c r="J31" s="26"/>
      <c r="K31" s="26"/>
      <c r="L31" s="26"/>
      <c r="M31" s="26"/>
      <c r="N31" s="26"/>
      <c r="O31" s="22"/>
      <c r="P31" s="1"/>
      <c r="Q31" s="1"/>
      <c r="R31" s="1"/>
      <c r="S31" s="1"/>
      <c r="T31" s="1"/>
    </row>
    <row r="32" spans="1:20" ht="15" thickBot="1" x14ac:dyDescent="0.35">
      <c r="A32" s="1"/>
      <c r="B32" s="1"/>
      <c r="C32" s="23"/>
      <c r="D32" s="24"/>
      <c r="E32" s="24"/>
      <c r="F32" s="24"/>
      <c r="G32" s="24"/>
      <c r="H32" s="24"/>
      <c r="I32" s="24"/>
      <c r="J32" s="24"/>
      <c r="K32" s="24"/>
      <c r="L32" s="24"/>
      <c r="M32" s="24"/>
      <c r="N32" s="24"/>
      <c r="O32" s="25"/>
      <c r="P32" s="1"/>
      <c r="Q32" s="1"/>
      <c r="R32" s="1"/>
      <c r="S32" s="1"/>
      <c r="T32" s="1"/>
    </row>
    <row r="33" spans="1:20" x14ac:dyDescent="0.3">
      <c r="A33" s="1"/>
      <c r="B33" s="1"/>
      <c r="C33" s="1"/>
      <c r="D33" s="1"/>
      <c r="E33" s="1"/>
      <c r="F33" s="1"/>
      <c r="G33" s="1"/>
      <c r="H33" s="1"/>
      <c r="I33" s="1"/>
      <c r="J33" s="1"/>
      <c r="K33" s="1"/>
      <c r="L33" s="1"/>
      <c r="M33" s="1"/>
      <c r="N33" s="1"/>
      <c r="O33" s="1"/>
      <c r="P33" s="1"/>
      <c r="Q33" s="1"/>
      <c r="R33" s="1"/>
      <c r="S33" s="1"/>
      <c r="T33" s="1"/>
    </row>
    <row r="34" spans="1:20" x14ac:dyDescent="0.3">
      <c r="A34" s="1"/>
      <c r="B34" s="1"/>
      <c r="C34" s="1"/>
      <c r="D34" s="1"/>
      <c r="E34" s="1"/>
      <c r="F34" s="1"/>
      <c r="G34" s="1"/>
      <c r="H34" s="1"/>
      <c r="I34" s="1"/>
      <c r="J34" s="1"/>
      <c r="K34" s="1"/>
      <c r="L34" s="1"/>
      <c r="M34" s="1"/>
      <c r="N34" s="1"/>
      <c r="O34" s="1"/>
      <c r="P34" s="1"/>
      <c r="Q34" s="1"/>
      <c r="R34" s="1"/>
      <c r="S34" s="1"/>
      <c r="T34" s="1"/>
    </row>
    <row r="35" spans="1:20" x14ac:dyDescent="0.3">
      <c r="A35" s="1"/>
      <c r="B35" s="1"/>
      <c r="C35" s="1"/>
      <c r="D35" s="1"/>
      <c r="E35" s="1"/>
      <c r="F35" s="1"/>
      <c r="G35" s="1"/>
      <c r="H35" s="1"/>
      <c r="I35" s="1"/>
      <c r="J35" s="1"/>
      <c r="K35" s="1"/>
      <c r="L35" s="1"/>
      <c r="M35" s="1"/>
      <c r="N35" s="1"/>
      <c r="O35" s="1"/>
      <c r="P35" s="1"/>
      <c r="Q35" s="1"/>
      <c r="R35" s="1"/>
      <c r="S35" s="1"/>
      <c r="T35" s="1"/>
    </row>
    <row r="36" spans="1:20" x14ac:dyDescent="0.3">
      <c r="A36" s="1"/>
      <c r="B36" s="1"/>
      <c r="C36" s="1"/>
      <c r="D36" s="1"/>
      <c r="E36" s="1"/>
      <c r="F36" s="1"/>
      <c r="G36" s="1"/>
      <c r="H36" s="1"/>
      <c r="I36" s="1"/>
      <c r="J36" s="1"/>
      <c r="K36" s="1"/>
      <c r="L36" s="1"/>
      <c r="M36" s="1"/>
      <c r="N36" s="1"/>
      <c r="O36" s="1"/>
      <c r="P36" s="1"/>
      <c r="Q36" s="1"/>
      <c r="R36" s="1"/>
      <c r="S36" s="1"/>
      <c r="T36" s="1"/>
    </row>
    <row r="37" spans="1:20" x14ac:dyDescent="0.3">
      <c r="A37" s="1"/>
      <c r="B37" s="1"/>
      <c r="C37" s="1"/>
      <c r="D37" s="1"/>
      <c r="E37" s="1"/>
      <c r="F37" s="1"/>
      <c r="G37" s="1"/>
      <c r="H37" s="1"/>
      <c r="I37" s="1"/>
      <c r="J37" s="1"/>
      <c r="K37" s="1"/>
      <c r="L37" s="1"/>
      <c r="M37" s="1"/>
      <c r="N37" s="1"/>
      <c r="O37" s="1"/>
      <c r="P37" s="1"/>
      <c r="Q37" s="1"/>
      <c r="R37" s="1"/>
      <c r="S37" s="1"/>
      <c r="T37" s="1"/>
    </row>
    <row r="38" spans="1:20" x14ac:dyDescent="0.3">
      <c r="A38" s="1"/>
      <c r="B38" s="1"/>
      <c r="C38" s="1"/>
      <c r="D38" s="1"/>
      <c r="E38" s="1"/>
      <c r="F38" s="1"/>
      <c r="G38" s="1"/>
      <c r="H38" s="1"/>
      <c r="I38" s="1"/>
      <c r="J38" s="1"/>
      <c r="K38" s="1"/>
      <c r="L38" s="1"/>
      <c r="M38" s="1"/>
      <c r="N38" s="1"/>
      <c r="O38" s="1"/>
      <c r="P38" s="1"/>
      <c r="Q38" s="1"/>
      <c r="R38" s="1"/>
      <c r="S38" s="1"/>
      <c r="T38" s="1"/>
    </row>
    <row r="39" spans="1:20" x14ac:dyDescent="0.3">
      <c r="A39" s="1"/>
      <c r="B39" s="1"/>
      <c r="C39" s="1"/>
      <c r="D39" s="1"/>
      <c r="E39" s="1"/>
      <c r="F39" s="1"/>
      <c r="G39" s="1"/>
      <c r="H39" s="1"/>
      <c r="I39" s="1"/>
      <c r="J39" s="1"/>
      <c r="K39" s="1"/>
      <c r="L39" s="1"/>
      <c r="M39" s="1"/>
      <c r="N39" s="1"/>
      <c r="O39" s="1"/>
      <c r="P39" s="1"/>
      <c r="Q39" s="1"/>
      <c r="R39" s="1"/>
      <c r="S39" s="1"/>
      <c r="T39" s="1"/>
    </row>
    <row r="40" spans="1:20" x14ac:dyDescent="0.3">
      <c r="A40" s="1"/>
      <c r="B40" s="1"/>
      <c r="C40" s="1"/>
      <c r="D40" s="1"/>
      <c r="E40" s="1"/>
      <c r="F40" s="1"/>
      <c r="G40" s="1"/>
      <c r="H40" s="1"/>
      <c r="I40" s="1"/>
      <c r="J40" s="1"/>
      <c r="K40" s="1"/>
      <c r="L40" s="1"/>
      <c r="M40" s="1"/>
      <c r="N40" s="1"/>
      <c r="O40" s="1"/>
      <c r="P40" s="1"/>
      <c r="Q40" s="1"/>
      <c r="R40" s="1"/>
      <c r="S40" s="1"/>
      <c r="T40" s="1"/>
    </row>
  </sheetData>
  <mergeCells count="11">
    <mergeCell ref="D30:N31"/>
    <mergeCell ref="K27:L27"/>
    <mergeCell ref="K25:L25"/>
    <mergeCell ref="K28:L28"/>
    <mergeCell ref="D6:M9"/>
    <mergeCell ref="K18:L18"/>
    <mergeCell ref="K19:L19"/>
    <mergeCell ref="K21:L21"/>
    <mergeCell ref="K22:L22"/>
    <mergeCell ref="K24:L24"/>
    <mergeCell ref="K26:L26"/>
  </mergeCells>
  <pageMargins left="0.7" right="0.7" top="0.75" bottom="0.75" header="0.3" footer="0.3"/>
  <pageSetup scale="7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C31A-9C1C-4891-A763-0E0BFE0B9F84}">
  <dimension ref="C2:N21"/>
  <sheetViews>
    <sheetView workbookViewId="0">
      <selection activeCell="N14" sqref="N14"/>
    </sheetView>
  </sheetViews>
  <sheetFormatPr defaultRowHeight="14.4" x14ac:dyDescent="0.3"/>
  <cols>
    <col min="3" max="3" width="17.109375" customWidth="1"/>
    <col min="4" max="4" width="13.33203125" customWidth="1"/>
    <col min="5" max="5" width="22.109375" customWidth="1"/>
    <col min="8" max="8" width="17.88671875" customWidth="1"/>
    <col min="9" max="9" width="15.5546875" customWidth="1"/>
    <col min="11" max="11" width="12.33203125" customWidth="1"/>
    <col min="12" max="12" width="13.109375" customWidth="1"/>
    <col min="13" max="13" width="20.109375" customWidth="1"/>
    <col min="14" max="14" width="17" customWidth="1"/>
  </cols>
  <sheetData>
    <row r="2" spans="3:14" x14ac:dyDescent="0.3">
      <c r="C2" s="32" t="s">
        <v>16</v>
      </c>
      <c r="D2" s="32"/>
      <c r="E2" s="32"/>
      <c r="H2" s="32" t="s">
        <v>21</v>
      </c>
      <c r="I2" s="32"/>
      <c r="J2" s="32"/>
      <c r="K2" s="32"/>
      <c r="L2" s="32"/>
      <c r="M2" s="32"/>
      <c r="N2" s="32"/>
    </row>
    <row r="4" spans="3:14" x14ac:dyDescent="0.3">
      <c r="C4" t="s">
        <v>12</v>
      </c>
      <c r="D4" s="11">
        <v>115</v>
      </c>
      <c r="E4" t="s">
        <v>36</v>
      </c>
      <c r="H4" t="s">
        <v>17</v>
      </c>
      <c r="I4" s="11">
        <f>Sheet1!L12</f>
        <v>32</v>
      </c>
      <c r="M4" t="s">
        <v>31</v>
      </c>
      <c r="N4" s="11">
        <f>(IF(Sheet1!K12=6,7,IF(Sheet1!K12=4,6,IF(Sheet1!K12=3,5,IF(Sheet1!K12=2,4,ERROR)))))</f>
        <v>6</v>
      </c>
    </row>
    <row r="6" spans="3:14" x14ac:dyDescent="0.3">
      <c r="C6" t="s">
        <v>45</v>
      </c>
      <c r="D6" s="11">
        <v>30</v>
      </c>
      <c r="E6" s="11">
        <f>D6*PI()/180</f>
        <v>0.52359877559829882</v>
      </c>
      <c r="H6" t="s">
        <v>19</v>
      </c>
      <c r="I6" s="11">
        <f>0.5*D4*D18*I4^2</f>
        <v>5950.8637896906721</v>
      </c>
      <c r="M6" t="s">
        <v>32</v>
      </c>
      <c r="N6" s="11">
        <f>I16*(N4/2+0.5*I4*TAN(90*PI()/180-J10))</f>
        <v>289091.80419157835</v>
      </c>
    </row>
    <row r="8" spans="3:14" x14ac:dyDescent="0.3">
      <c r="C8" t="s">
        <v>14</v>
      </c>
      <c r="D8" s="11">
        <v>60</v>
      </c>
      <c r="E8" s="11">
        <f>D8*PI()/180</f>
        <v>1.0471975511965976</v>
      </c>
      <c r="H8" t="s">
        <v>20</v>
      </c>
      <c r="I8" s="11">
        <f>0.5*D4*D16^2*D20</f>
        <v>2059.6821532789527</v>
      </c>
      <c r="M8" t="s">
        <v>33</v>
      </c>
      <c r="N8" s="11">
        <f>I14*(N4+0.3333*I4*TAN(90*PI()/180-J10))</f>
        <v>28542.53481976243</v>
      </c>
    </row>
    <row r="10" spans="3:14" x14ac:dyDescent="0.3">
      <c r="C10" t="s">
        <v>15</v>
      </c>
      <c r="D10" s="11">
        <f>0.666*D6</f>
        <v>19.98</v>
      </c>
      <c r="E10" s="11">
        <f>D10*PI()/180</f>
        <v>0.34871678454846705</v>
      </c>
      <c r="H10" t="s">
        <v>13</v>
      </c>
      <c r="I10" s="11">
        <f>IF(Sheet1!K12=6,60,IF(Sheet1!K12=4,53,IF(Sheet1!K12=3,50,IF(Sheet1!K12=2,45,ERROR))))</f>
        <v>53</v>
      </c>
      <c r="J10" s="11">
        <f>I10*PI()/180</f>
        <v>0.92502450355699462</v>
      </c>
      <c r="M10" t="s">
        <v>29</v>
      </c>
      <c r="N10" s="11">
        <f>N6+N8</f>
        <v>317634.33901134081</v>
      </c>
    </row>
    <row r="12" spans="3:14" x14ac:dyDescent="0.3">
      <c r="C12" t="s">
        <v>22</v>
      </c>
      <c r="D12" s="11">
        <f>D14</f>
        <v>15.511053820543733</v>
      </c>
      <c r="E12" s="11">
        <f>D12*PI()/180</f>
        <v>0.27071895962253378</v>
      </c>
      <c r="H12" t="s">
        <v>23</v>
      </c>
      <c r="I12" s="11">
        <f>ABS(I6*COS(E10))</f>
        <v>5592.6929088381203</v>
      </c>
      <c r="M12" t="s">
        <v>30</v>
      </c>
      <c r="N12" s="11">
        <f>I12*0.3333*I4</f>
        <v>59649.425488503854</v>
      </c>
    </row>
    <row r="13" spans="3:14" ht="15" thickBot="1" x14ac:dyDescent="0.35"/>
    <row r="14" spans="3:14" ht="15.6" thickTop="1" thickBot="1" x14ac:dyDescent="0.35">
      <c r="C14" t="s">
        <v>22</v>
      </c>
      <c r="D14" s="11">
        <f>1/(SIN((SQRT(Sheet1!K15^2+(Sheet1!L15-Sheet1!L12)^2))*PI()/180)/(Sheet1!L15-Sheet1!L12))</f>
        <v>15.511053820543733</v>
      </c>
      <c r="E14" s="11">
        <f>D14*PI()/180</f>
        <v>0.27071895962253378</v>
      </c>
      <c r="H14" t="s">
        <v>24</v>
      </c>
      <c r="I14" s="11">
        <f>ABS(I6*SIN(E10))</f>
        <v>2033.3631920745063</v>
      </c>
      <c r="M14" s="7" t="s">
        <v>34</v>
      </c>
      <c r="N14" s="7">
        <f>N10/N12</f>
        <v>5.3250192505635789</v>
      </c>
    </row>
    <row r="15" spans="3:14" ht="15" thickTop="1" x14ac:dyDescent="0.3"/>
    <row r="16" spans="3:14" x14ac:dyDescent="0.3">
      <c r="C16" t="s">
        <v>18</v>
      </c>
      <c r="D16" s="3">
        <v>2.5</v>
      </c>
      <c r="E16" t="s">
        <v>35</v>
      </c>
      <c r="H16" t="s">
        <v>25</v>
      </c>
      <c r="I16" s="11">
        <f>IF(Sheet1!K12=6,6*2+2.5*6,IF(Sheet1!K12=4,2*4+2*4,IF(Sheet1!K12=3,2*3+1.5*3,IF(Sheet1!K12=2,2*2+2*1))))*150*Sheet1!L12/Sheet1!K12</f>
        <v>19200</v>
      </c>
      <c r="J16" t="s">
        <v>26</v>
      </c>
    </row>
    <row r="18" spans="3:9" x14ac:dyDescent="0.3">
      <c r="C18" t="s">
        <v>10</v>
      </c>
      <c r="D18" s="11">
        <f>((_xlfn.CSC(J10)*SIN(J10-E6))/(SQRT(SIN(J10+E10))+SQRT((SIN(E6+E10)*SIN(E6-E12))/SIN(J10-E12))))^2</f>
        <v>0.10106765947164864</v>
      </c>
      <c r="H18" t="s">
        <v>27</v>
      </c>
      <c r="I18" s="11">
        <f>ABS((I16+I14)*TAN(E6)+I8)</f>
        <v>14318.77010802426</v>
      </c>
    </row>
    <row r="19" spans="3:9" ht="15" thickBot="1" x14ac:dyDescent="0.35"/>
    <row r="20" spans="3:9" ht="15.6" thickTop="1" thickBot="1" x14ac:dyDescent="0.35">
      <c r="C20" t="s">
        <v>11</v>
      </c>
      <c r="D20" s="11">
        <f>SIN(E8-E6)^2/(SIN(E8)^2*SIN(E8+E10)*(1-(SQRT((SIN(E6+E10)*SIN(E6+E12))/(SIN(E8+E10)*SIN(E8+E12)))))^2)</f>
        <v>5.731289469993607</v>
      </c>
      <c r="H20" s="7" t="s">
        <v>28</v>
      </c>
      <c r="I20" s="7">
        <f>I18/I12</f>
        <v>2.5602639625351751</v>
      </c>
    </row>
    <row r="21" spans="3:9" ht="15" thickTop="1" x14ac:dyDescent="0.3"/>
  </sheetData>
  <mergeCells count="2">
    <mergeCell ref="C2:E2"/>
    <mergeCell ref="H2:N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FED8B-D2A3-454F-8C13-4CC9A36A4390}">
  <dimension ref="A1:A19"/>
  <sheetViews>
    <sheetView workbookViewId="0">
      <selection activeCell="A16" sqref="A16"/>
    </sheetView>
  </sheetViews>
  <sheetFormatPr defaultRowHeight="14.4" x14ac:dyDescent="0.3"/>
  <cols>
    <col min="1" max="1" width="68.109375" customWidth="1"/>
    <col min="9" max="9" width="9.33203125" customWidth="1"/>
  </cols>
  <sheetData>
    <row r="1" spans="1:1" x14ac:dyDescent="0.3">
      <c r="A1" s="10" t="s">
        <v>44</v>
      </c>
    </row>
    <row r="2" spans="1:1" ht="27.6" x14ac:dyDescent="0.3">
      <c r="A2" s="8" t="s">
        <v>37</v>
      </c>
    </row>
    <row r="3" spans="1:1" ht="57.6" x14ac:dyDescent="0.3">
      <c r="A3" s="9" t="s">
        <v>38</v>
      </c>
    </row>
    <row r="4" spans="1:1" ht="27.6" x14ac:dyDescent="0.3">
      <c r="A4" s="8" t="s">
        <v>39</v>
      </c>
    </row>
    <row r="5" spans="1:1" ht="41.4" x14ac:dyDescent="0.3">
      <c r="A5" s="8" t="s">
        <v>40</v>
      </c>
    </row>
    <row r="6" spans="1:1" ht="27.6" x14ac:dyDescent="0.3">
      <c r="A6" s="8" t="s">
        <v>41</v>
      </c>
    </row>
    <row r="7" spans="1:1" ht="27.6" x14ac:dyDescent="0.3">
      <c r="A7" s="8" t="s">
        <v>42</v>
      </c>
    </row>
    <row r="8" spans="1:1" x14ac:dyDescent="0.3">
      <c r="A8" s="8" t="s">
        <v>43</v>
      </c>
    </row>
    <row r="13" spans="1:1" ht="21.75" customHeight="1" x14ac:dyDescent="0.3"/>
    <row r="16" spans="1:1" ht="13.5" customHeight="1" x14ac:dyDescent="0.3"/>
    <row r="17" ht="14.25" customHeight="1" x14ac:dyDescent="0.3"/>
    <row r="18" ht="18" customHeight="1" x14ac:dyDescent="0.3"/>
    <row r="19" ht="12" customHeight="1" x14ac:dyDescent="0.3"/>
  </sheetData>
  <hyperlinks>
    <hyperlink ref="A3" r:id="rId1" display="http://www.tubbs.com/geotech/geotech.htm" xr:uid="{C7703DA1-172E-4EB0-94F0-C6EC4AF037E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GRS</dc:creator>
  <cp:lastModifiedBy>GRS</cp:lastModifiedBy>
  <cp:lastPrinted>2017-11-20T16:45:56Z</cp:lastPrinted>
  <dcterms:created xsi:type="dcterms:W3CDTF">2017-09-20T13:26:35Z</dcterms:created>
  <dcterms:modified xsi:type="dcterms:W3CDTF">2018-01-19T16:18:09Z</dcterms:modified>
</cp:coreProperties>
</file>